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<sst xmlns="http://schemas.openxmlformats.org/spreadsheetml/2006/main" count="126" uniqueCount="98">
  <si>
    <t>Australian Bureau of Statistics</t>
  </si>
  <si>
    <t>Statistics - Tasmania, Historical tables</t>
  </si>
  <si>
    <t>Production of Wool and Lambing, Tasmania(a)</t>
  </si>
  <si>
    <t>Production of wool</t>
  </si>
  <si>
    <t xml:space="preserve"> Lambing</t>
  </si>
  <si>
    <t xml:space="preserve"> Number of sheep and lambs shorn</t>
  </si>
  <si>
    <t xml:space="preserve"> Average yield per sheep and lamb shorn (including crutchings)</t>
  </si>
  <si>
    <t>Production of wool (including dead wool and wool on skins)(b)</t>
  </si>
  <si>
    <t xml:space="preserve"> Ewes mated</t>
  </si>
  <si>
    <t>Lambs marked</t>
  </si>
  <si>
    <t>Year</t>
  </si>
  <si>
    <t>kg</t>
  </si>
  <si>
    <t>’000 kg</t>
  </si>
  <si>
    <t>’000</t>
  </si>
  <si>
    <t xml:space="preserve"> ’000</t>
  </si>
  <si>
    <t>n.a.</t>
  </si>
  <si>
    <t xml:space="preserve"> n.a.</t>
  </si>
  <si>
    <t>1920-21</t>
  </si>
  <si>
    <t>1930-31</t>
  </si>
  <si>
    <t>1940-41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</si>
  <si>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</si>
  <si>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</si>
  <si>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</si>
  <si>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</si>
  <si>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</si>
  <si>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</si>
  <si>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</si>
  <si>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</si>
  <si>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</si>
  <si>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</si>
  <si>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</si>
  <si>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</si>
  <si>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</si>
  <si>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</si>
  <si>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</si>
  <si>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</si>
  <si>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</si>
  <si>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</si>
  <si>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</si>
  <si>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</si>
  <si>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</si>
  <si>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</si>
  <si>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</si>
  <si>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</si>
  <si>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</si>
  <si>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</si>
  <si>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</si>
  <si>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</si>
  <si>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</si>
  <si>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</si>
  <si>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</si>
  <si>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</si>
  <si>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</si>
  <si>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</si>
  <si>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</si>
  <si>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</si>
  <si>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r 2,127</t>
  </si>
  <si>
    <t>r 1,960</t>
  </si>
  <si>
    <t>1986-87(c)</t>
  </si>
  <si>
    <t>r 2,016</t>
  </si>
  <si>
    <t>r 1,849</t>
  </si>
  <si>
    <t>1987-88</t>
  </si>
  <si>
    <t>r 1,982</t>
  </si>
  <si>
    <t>r 1,709</t>
  </si>
  <si>
    <t>1988-89</t>
  </si>
  <si>
    <t>r 1,871</t>
  </si>
  <si>
    <t>r 1,569</t>
  </si>
  <si>
    <t>1989-90</t>
  </si>
  <si>
    <t>r 1,826</t>
  </si>
  <si>
    <t>1990-91</t>
  </si>
  <si>
    <t>r 23,727</t>
  </si>
  <si>
    <t>r 1,882</t>
  </si>
  <si>
    <t>r 1,601</t>
  </si>
  <si>
    <t>1991-92</t>
  </si>
  <si>
    <t>r 19,932</t>
  </si>
  <si>
    <t>r 1,660</t>
  </si>
  <si>
    <t>1992-93</t>
  </si>
  <si>
    <t>r 19,267</t>
  </si>
  <si>
    <t>1993-94</t>
  </si>
  <si>
    <t>r 20,747</t>
  </si>
  <si>
    <t>1994-95</t>
  </si>
  <si>
    <t>r 19,839</t>
  </si>
  <si>
    <t>1995-96</t>
  </si>
  <si>
    <t>r 17,734</t>
  </si>
  <si>
    <t>1996-97</t>
  </si>
  <si>
    <t>r 20,626</t>
  </si>
  <si>
    <t>1997-98</t>
  </si>
  <si>
    <t>r 19,205</t>
  </si>
  <si>
    <t>1998-99</t>
  </si>
  <si>
    <t>r 18,213</t>
  </si>
  <si>
    <t>1999-2000</t>
  </si>
  <si>
    <t>r 19,595</t>
  </si>
  <si>
    <t>n.a.  not available</t>
  </si>
  <si>
    <t>r  figures or series revised since previous issue</t>
  </si>
  <si>
    <t>(a) Up to 1925-26, numbers recorded were at varying dates in the years shown; from 1926 to 1940 at 31 December; from 1941-42 at 31 March; from 1999-2000 onwards at 30 June.</t>
  </si>
  <si>
    <t>(b) Wool data are based on information from Brokers and Dealers.</t>
  </si>
  <si>
    <t>(c) The scope of the census for 1986-87 differs from previous years.</t>
  </si>
  <si>
    <t>© Commonwealth of Australia, 2002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</si>
</sst>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 wrapText="1"/>
    </xf>
    <xf numFmtId="0" fontId="4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wrapText="1"/>
    </xf>
    <xf numFmtId="0" fontId="4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left" wrapText="1"/>
    </xf>
    <xf numFmtId="0" fontId="5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right" wrapText="1"/>
    </xf>
    <xf numFmtId="0" fontId="5" fillId="2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right" wrapText="1"/>
    </xf>
    <xf numFmtId="0" fontId="5" fillId="2" borderId="1" xfId="0" applyNumberFormat="1" applyFont="1" applyFill="1" applyAlignment="1">
      <alignment horizontal="left" wrapText="1"/>
    </xf>
    <xf numFmtId="0" fontId="5" fillId="2" borderId="1" xfId="0" applyNumberFormat="1" applyFont="1" applyFill="1" applyAlignment="1">
      <alignment horizontal="right" wrapText="1"/>
    </xf>
    <xf numFmtId="3" fontId="5" fillId="2" borderId="1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2" fontId="5" fillId="2" borderId="0" xfId="0" applyNumberFormat="1" applyFont="1" applyFill="1" applyAlignment="1">
      <alignment horizontal="right" wrapText="1"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 wrapText="1"/>
    </xf>
    <xf numFmtId="0" fontId="5" fillId="2" borderId="2" xfId="0" applyNumberFormat="1" applyFont="1" applyFill="1" applyBorder="1" applyAlignment="1">
      <alignment horizontal="right" wrapText="1"/>
    </xf>
    <xf numFmtId="0" fontId="0" fillId="2" borderId="2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NumberFormat="1" applyFont="1" applyAlignment="1">
      <alignment horizontal="left" wrapText="1"/>
    </xf>
    <xf numFmtId="0" fontId="5" fillId="2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1" fillId="2" borderId="0" xfId="0" applyNumberFormat="1" applyFont="1" applyFill="1" applyAlignment="1">
      <alignment horizontal="left" wrapText="1"/>
    </xf>
    <xf numFmtId="0" fontId="4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9.6640625" style="20" customWidth="1"/>
    <col min="2" max="4" width="9.6640625" style="3" customWidth="1"/>
    <col min="5" max="5" width="5.77734375" style="3" customWidth="1"/>
    <col min="6" max="255" width="9.6640625" style="3" customWidth="1"/>
    <col min="256" max="16384" width="9.6640625" style="1" customWidth="1"/>
  </cols>
  <sheetData>
    <row r="1" ht="15.75">
      <c r="A1" s="2" t="s">
        <v>0</v>
      </c>
    </row>
    <row r="2" ht="15.75">
      <c r="A2" s="4" t="s">
        <v>1</v>
      </c>
    </row>
    <row r="3" ht="15">
      <c r="A3" s="5" t="s">
        <v>2</v>
      </c>
    </row>
    <row r="4" ht="15">
      <c r="A4" s="6"/>
    </row>
    <row r="5" spans="1:255" ht="15" customHeight="1">
      <c r="A5" s="7"/>
      <c r="B5" s="21" t="s">
        <v>3</v>
      </c>
      <c r="C5" s="21"/>
      <c r="D5" s="22"/>
      <c r="E5" s="9"/>
      <c r="F5" s="21" t="s">
        <v>4</v>
      </c>
      <c r="G5" s="2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84.75" customHeight="1">
      <c r="A6" s="7"/>
      <c r="B6" s="13" t="s">
        <v>5</v>
      </c>
      <c r="C6" s="13" t="s">
        <v>6</v>
      </c>
      <c r="D6" s="13" t="s">
        <v>7</v>
      </c>
      <c r="E6" s="9"/>
      <c r="F6" s="13" t="s">
        <v>8</v>
      </c>
      <c r="G6" s="13" t="s">
        <v>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6" ht="15">
      <c r="A7" s="7" t="s">
        <v>10</v>
      </c>
      <c r="B7" s="9" t="s">
        <v>11</v>
      </c>
      <c r="C7" s="9" t="s">
        <v>12</v>
      </c>
      <c r="D7" s="9" t="s">
        <v>13</v>
      </c>
      <c r="E7" s="9"/>
      <c r="F7" s="9" t="s">
        <v>14</v>
      </c>
      <c r="G7" s="9" t="s">
        <v>14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11"/>
    </row>
    <row r="8" spans="1:255" ht="15">
      <c r="A8" s="12">
        <v>1860</v>
      </c>
      <c r="B8" s="13" t="s">
        <v>15</v>
      </c>
      <c r="C8" s="13" t="s">
        <v>15</v>
      </c>
      <c r="D8" s="14">
        <f>2058</f>
        <v>2058</v>
      </c>
      <c r="E8" s="14"/>
      <c r="F8" s="13" t="s">
        <v>15</v>
      </c>
      <c r="G8" s="13" t="s">
        <v>16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ht="15">
      <c r="A9" s="7">
        <v>1870</v>
      </c>
      <c r="B9" s="9" t="s">
        <v>16</v>
      </c>
      <c r="C9" s="9" t="s">
        <v>15</v>
      </c>
      <c r="D9" s="15">
        <f>1881</f>
        <v>1881</v>
      </c>
      <c r="E9" s="15"/>
      <c r="F9" s="9" t="s">
        <v>15</v>
      </c>
      <c r="G9" s="9" t="s">
        <v>16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ht="15">
      <c r="A10" s="7">
        <v>1880</v>
      </c>
      <c r="B10" s="9" t="s">
        <v>15</v>
      </c>
      <c r="C10" s="9" t="s">
        <v>15</v>
      </c>
      <c r="D10" s="15">
        <f>4094</f>
        <v>4094</v>
      </c>
      <c r="E10" s="15"/>
      <c r="F10" s="9" t="s">
        <v>15</v>
      </c>
      <c r="G10" s="9" t="s">
        <v>16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ht="15">
      <c r="A11" s="7">
        <v>1890</v>
      </c>
      <c r="B11" s="9" t="s">
        <v>15</v>
      </c>
      <c r="C11" s="9" t="s">
        <v>15</v>
      </c>
      <c r="D11" s="15">
        <f>4075</f>
        <v>4075</v>
      </c>
      <c r="E11" s="15"/>
      <c r="F11" s="9" t="s">
        <v>15</v>
      </c>
      <c r="G11" s="9" t="s">
        <v>16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5">
      <c r="A12" s="7">
        <v>1900</v>
      </c>
      <c r="B12" s="9" t="s">
        <v>15</v>
      </c>
      <c r="C12" s="9" t="s">
        <v>15</v>
      </c>
      <c r="D12" s="15">
        <f>3064</f>
        <v>3064</v>
      </c>
      <c r="E12" s="15"/>
      <c r="F12" s="9" t="s">
        <v>15</v>
      </c>
      <c r="G12" s="9" t="s">
        <v>16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5">
      <c r="A13" s="7">
        <v>1910</v>
      </c>
      <c r="B13" s="9" t="s">
        <v>15</v>
      </c>
      <c r="C13" s="9" t="s">
        <v>15</v>
      </c>
      <c r="D13" s="15">
        <f>6050</f>
        <v>6050</v>
      </c>
      <c r="E13" s="15"/>
      <c r="F13" s="9" t="s">
        <v>16</v>
      </c>
      <c r="G13" s="9" t="s">
        <v>16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15">
      <c r="A14" s="7" t="s">
        <v>17</v>
      </c>
      <c r="B14" s="15">
        <v>1551</v>
      </c>
      <c r="C14" s="16">
        <v>2.94</v>
      </c>
      <c r="D14" s="15">
        <f>5218</f>
        <v>5218</v>
      </c>
      <c r="E14" s="15"/>
      <c r="F14" s="9">
        <v>416</v>
      </c>
      <c r="G14" s="9">
        <v>299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ht="15">
      <c r="A15" s="7" t="s">
        <v>18</v>
      </c>
      <c r="B15" s="15">
        <v>1961</v>
      </c>
      <c r="C15" s="16">
        <v>3.11</v>
      </c>
      <c r="D15" s="15">
        <f>6713</f>
        <v>6713</v>
      </c>
      <c r="E15" s="15"/>
      <c r="F15" s="9">
        <v>695</v>
      </c>
      <c r="G15" s="9">
        <v>547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ht="15">
      <c r="A16" s="7" t="s">
        <v>19</v>
      </c>
      <c r="B16" s="15">
        <v>2517</v>
      </c>
      <c r="C16" s="16">
        <v>2.78</v>
      </c>
      <c r="D16" s="15">
        <f>7746</f>
        <v>7746</v>
      </c>
      <c r="E16" s="15"/>
      <c r="F16" s="9">
        <v>988</v>
      </c>
      <c r="G16" s="9">
        <v>764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ht="15">
      <c r="A17" s="7" t="s">
        <v>20</v>
      </c>
      <c r="B17" s="15">
        <v>2245</v>
      </c>
      <c r="C17" s="16">
        <v>2.99</v>
      </c>
      <c r="D17" s="15">
        <f>7824</f>
        <v>7824</v>
      </c>
      <c r="E17" s="15"/>
      <c r="F17" s="9">
        <v>774</v>
      </c>
      <c r="G17" s="9">
        <v>637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ht="15">
      <c r="A18" s="7" t="s">
        <v>21</v>
      </c>
      <c r="B18" s="15">
        <v>2379</v>
      </c>
      <c r="C18" s="16">
        <v>3.42</v>
      </c>
      <c r="D18" s="15">
        <f>9305</f>
        <v>9305</v>
      </c>
      <c r="E18" s="15"/>
      <c r="F18" s="9">
        <v>839</v>
      </c>
      <c r="G18" s="9">
        <v>726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ht="15">
      <c r="A19" s="7" t="s">
        <v>22</v>
      </c>
      <c r="B19" s="15">
        <v>2502</v>
      </c>
      <c r="C19" s="16">
        <v>3.19</v>
      </c>
      <c r="D19" s="15">
        <f>8984</f>
        <v>8984</v>
      </c>
      <c r="E19" s="15"/>
      <c r="F19" s="9">
        <v>894</v>
      </c>
      <c r="G19" s="9">
        <v>768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5">
      <c r="A20" s="7" t="s">
        <v>23</v>
      </c>
      <c r="B20" s="15">
        <v>2553</v>
      </c>
      <c r="C20" s="16">
        <v>3.16</v>
      </c>
      <c r="D20" s="15">
        <f>9124</f>
        <v>9124</v>
      </c>
      <c r="E20" s="15"/>
      <c r="F20" s="9">
        <v>916</v>
      </c>
      <c r="G20" s="9">
        <v>788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15">
      <c r="A21" s="7" t="s">
        <v>24</v>
      </c>
      <c r="B21" s="15">
        <v>2715</v>
      </c>
      <c r="C21" s="16">
        <v>3.53</v>
      </c>
      <c r="D21" s="15">
        <f>10794</f>
        <v>10794</v>
      </c>
      <c r="E21" s="15"/>
      <c r="F21" s="9">
        <v>968</v>
      </c>
      <c r="G21" s="9">
        <v>884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ht="15">
      <c r="A22" s="7" t="s">
        <v>25</v>
      </c>
      <c r="B22" s="15">
        <v>2733</v>
      </c>
      <c r="C22" s="16">
        <v>3.45</v>
      </c>
      <c r="D22" s="15">
        <f>10624</f>
        <v>10624</v>
      </c>
      <c r="E22" s="15"/>
      <c r="F22" s="9">
        <v>979</v>
      </c>
      <c r="G22" s="9">
        <v>877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ht="15">
      <c r="A23" s="7" t="s">
        <v>26</v>
      </c>
      <c r="B23" s="15">
        <v>3082</v>
      </c>
      <c r="C23" s="16">
        <v>3.78</v>
      </c>
      <c r="D23" s="15">
        <f>13009</f>
        <v>13009</v>
      </c>
      <c r="E23" s="15"/>
      <c r="F23" s="15">
        <f>1150</f>
        <v>1150</v>
      </c>
      <c r="G23" s="15">
        <f>1056</f>
        <v>1056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ht="15">
      <c r="A24" s="7" t="s">
        <v>27</v>
      </c>
      <c r="B24" s="15">
        <v>3388</v>
      </c>
      <c r="C24" s="16">
        <f>3.5</f>
        <v>3.5</v>
      </c>
      <c r="D24" s="15">
        <f>13234</f>
        <v>13234</v>
      </c>
      <c r="E24" s="15"/>
      <c r="F24" s="15">
        <f>1266</f>
        <v>1266</v>
      </c>
      <c r="G24" s="15">
        <f>1199</f>
        <v>1199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ht="15">
      <c r="A25" s="7" t="s">
        <v>28</v>
      </c>
      <c r="B25" s="15">
        <v>3673</v>
      </c>
      <c r="C25" s="16">
        <v>3.57</v>
      </c>
      <c r="D25" s="15">
        <f>14803</f>
        <v>14803</v>
      </c>
      <c r="E25" s="15"/>
      <c r="F25" s="15">
        <f>1381</f>
        <v>1381</v>
      </c>
      <c r="G25" s="15">
        <f>1269</f>
        <v>1269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15">
      <c r="A26" s="7" t="s">
        <v>29</v>
      </c>
      <c r="B26" s="15">
        <v>3834</v>
      </c>
      <c r="C26" s="16">
        <v>3.44</v>
      </c>
      <c r="D26" s="15">
        <f>15241</f>
        <v>15241</v>
      </c>
      <c r="E26" s="15"/>
      <c r="F26" s="15">
        <f>1461</f>
        <v>1461</v>
      </c>
      <c r="G26" s="15">
        <f>1354</f>
        <v>1354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15">
      <c r="A27" s="7" t="s">
        <v>30</v>
      </c>
      <c r="B27" s="15">
        <v>3678</v>
      </c>
      <c r="C27" s="16">
        <v>3.44</v>
      </c>
      <c r="D27" s="15">
        <f>14456</f>
        <v>14456</v>
      </c>
      <c r="E27" s="15"/>
      <c r="F27" s="15">
        <f>1378</f>
        <v>1378</v>
      </c>
      <c r="G27" s="15">
        <f>1267</f>
        <v>1267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15">
      <c r="A28" s="7" t="s">
        <v>31</v>
      </c>
      <c r="B28" s="15">
        <v>3830</v>
      </c>
      <c r="C28" s="16">
        <v>3.56</v>
      </c>
      <c r="D28" s="15">
        <f>15635</f>
        <v>15635</v>
      </c>
      <c r="E28" s="15"/>
      <c r="F28" s="15">
        <f>1440</f>
        <v>1440</v>
      </c>
      <c r="G28" s="15">
        <f>1368</f>
        <v>1368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15">
      <c r="A29" s="7" t="s">
        <v>32</v>
      </c>
      <c r="B29" s="15">
        <v>3783</v>
      </c>
      <c r="C29" s="16">
        <v>3.64</v>
      </c>
      <c r="D29" s="15">
        <f>15677</f>
        <v>15677</v>
      </c>
      <c r="E29" s="15"/>
      <c r="F29" s="15">
        <f>1419</f>
        <v>1419</v>
      </c>
      <c r="G29" s="15">
        <f>1310</f>
        <v>1310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15">
      <c r="A30" s="7" t="s">
        <v>33</v>
      </c>
      <c r="B30" s="15">
        <v>3868</v>
      </c>
      <c r="C30" s="16">
        <v>3.47</v>
      </c>
      <c r="D30" s="15">
        <f>15425</f>
        <v>15425</v>
      </c>
      <c r="E30" s="15"/>
      <c r="F30" s="15">
        <f>1458</f>
        <v>1458</v>
      </c>
      <c r="G30" s="15">
        <f>1353</f>
        <v>1353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15">
      <c r="A31" s="7" t="s">
        <v>34</v>
      </c>
      <c r="B31" s="15">
        <v>3978</v>
      </c>
      <c r="C31" s="16">
        <v>4.06</v>
      </c>
      <c r="D31" s="15">
        <f>17994</f>
        <v>17994</v>
      </c>
      <c r="E31" s="15"/>
      <c r="F31" s="15">
        <f>1478</f>
        <v>1478</v>
      </c>
      <c r="G31" s="15">
        <f>1374</f>
        <v>1374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15">
      <c r="A32" s="7" t="s">
        <v>35</v>
      </c>
      <c r="B32" s="15">
        <v>4318</v>
      </c>
      <c r="C32" s="16">
        <v>3.88</v>
      </c>
      <c r="D32" s="15">
        <f>18986</f>
        <v>18986</v>
      </c>
      <c r="E32" s="15"/>
      <c r="F32" s="15">
        <f>1651</f>
        <v>1651</v>
      </c>
      <c r="G32" s="15">
        <f>1594</f>
        <v>1594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15">
      <c r="A33" s="7" t="s">
        <v>36</v>
      </c>
      <c r="B33" s="15">
        <v>4517</v>
      </c>
      <c r="C33" s="16">
        <v>3.88</v>
      </c>
      <c r="D33" s="15">
        <f>19574</f>
        <v>19574</v>
      </c>
      <c r="E33" s="15"/>
      <c r="F33" s="15">
        <f>1688</f>
        <v>1688</v>
      </c>
      <c r="G33" s="15">
        <f>1574</f>
        <v>1574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15">
      <c r="A34" s="7" t="s">
        <v>37</v>
      </c>
      <c r="B34" s="15">
        <v>4572</v>
      </c>
      <c r="C34" s="16">
        <v>3.34</v>
      </c>
      <c r="D34" s="15">
        <f>17376</f>
        <v>17376</v>
      </c>
      <c r="E34" s="15"/>
      <c r="F34" s="15">
        <f>1779</f>
        <v>1779</v>
      </c>
      <c r="G34" s="15">
        <f>1522</f>
        <v>1522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15">
      <c r="A35" s="7" t="s">
        <v>38</v>
      </c>
      <c r="B35" s="15">
        <v>4632</v>
      </c>
      <c r="C35" s="16">
        <v>4.09</v>
      </c>
      <c r="D35" s="15">
        <f>21299</f>
        <v>21299</v>
      </c>
      <c r="E35" s="15"/>
      <c r="F35" s="15">
        <f>1736</f>
        <v>1736</v>
      </c>
      <c r="G35" s="15">
        <f>1561</f>
        <v>1561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15">
      <c r="A36" s="7" t="s">
        <v>39</v>
      </c>
      <c r="B36" s="15">
        <v>4792</v>
      </c>
      <c r="C36" s="16">
        <v>4.05</v>
      </c>
      <c r="D36" s="15">
        <f>21861</f>
        <v>21861</v>
      </c>
      <c r="E36" s="15"/>
      <c r="F36" s="15">
        <f>1831</f>
        <v>1831</v>
      </c>
      <c r="G36" s="15">
        <f>1715</f>
        <v>1715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15">
      <c r="A37" s="7" t="s">
        <v>40</v>
      </c>
      <c r="B37" s="15">
        <v>4806</v>
      </c>
      <c r="C37" s="16">
        <v>3.99</v>
      </c>
      <c r="D37" s="15">
        <f>21671</f>
        <v>21671</v>
      </c>
      <c r="E37" s="15"/>
      <c r="F37" s="15">
        <f>1889</f>
        <v>1889</v>
      </c>
      <c r="G37" s="15">
        <f>1705</f>
        <v>1705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15">
      <c r="A38" s="7" t="s">
        <v>41</v>
      </c>
      <c r="B38" s="15">
        <v>4607</v>
      </c>
      <c r="C38" s="16">
        <v>4.03</v>
      </c>
      <c r="D38" s="15">
        <f>21063</f>
        <v>21063</v>
      </c>
      <c r="E38" s="15"/>
      <c r="F38" s="15">
        <f>1805</f>
        <v>1805</v>
      </c>
      <c r="G38" s="15">
        <f>1617</f>
        <v>1617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15">
      <c r="A39" s="7" t="s">
        <v>42</v>
      </c>
      <c r="B39" s="15">
        <v>4251</v>
      </c>
      <c r="C39" s="16">
        <v>3.76</v>
      </c>
      <c r="D39" s="15">
        <f>18154</f>
        <v>18154</v>
      </c>
      <c r="E39" s="15"/>
      <c r="F39" s="15">
        <f>1604</f>
        <v>1604</v>
      </c>
      <c r="G39" s="15">
        <f>1369</f>
        <v>1369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15">
      <c r="A40" s="7" t="s">
        <v>43</v>
      </c>
      <c r="B40" s="15">
        <v>4101</v>
      </c>
      <c r="C40" s="16">
        <f>3.9</f>
        <v>3.9</v>
      </c>
      <c r="D40" s="15">
        <f>17549</f>
        <v>17549</v>
      </c>
      <c r="E40" s="15"/>
      <c r="F40" s="15">
        <f>1535</f>
        <v>1535</v>
      </c>
      <c r="G40" s="15">
        <f>1361</f>
        <v>1361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15">
      <c r="A41" s="7" t="s">
        <v>44</v>
      </c>
      <c r="B41" s="15">
        <v>4153</v>
      </c>
      <c r="C41" s="16">
        <v>4.12</v>
      </c>
      <c r="D41" s="15">
        <f>18888</f>
        <v>18888</v>
      </c>
      <c r="E41" s="15"/>
      <c r="F41" s="15">
        <f>1644</f>
        <v>1644</v>
      </c>
      <c r="G41" s="15">
        <f>1466</f>
        <v>1466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15">
      <c r="A42" s="7" t="s">
        <v>45</v>
      </c>
      <c r="B42" s="15">
        <v>4352</v>
      </c>
      <c r="C42" s="16">
        <v>4.13</v>
      </c>
      <c r="D42" s="15">
        <f>19951</f>
        <v>19951</v>
      </c>
      <c r="E42" s="15"/>
      <c r="F42" s="15">
        <f>1677</f>
        <v>1677</v>
      </c>
      <c r="G42" s="15">
        <f>1515</f>
        <v>1515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15">
      <c r="A43" s="7" t="s">
        <v>46</v>
      </c>
      <c r="B43" s="15">
        <v>4229</v>
      </c>
      <c r="C43" s="16">
        <v>3.82</v>
      </c>
      <c r="D43" s="15">
        <f>18109</f>
        <v>18109</v>
      </c>
      <c r="E43" s="15"/>
      <c r="F43" s="15">
        <f>1640</f>
        <v>1640</v>
      </c>
      <c r="G43" s="15">
        <f>1378</f>
        <v>1378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15">
      <c r="A44" s="7" t="s">
        <v>47</v>
      </c>
      <c r="B44" s="15">
        <v>4242</v>
      </c>
      <c r="C44" s="16">
        <f>4</f>
        <v>4</v>
      </c>
      <c r="D44" s="15">
        <f>18294</f>
        <v>18294</v>
      </c>
      <c r="E44" s="15"/>
      <c r="F44" s="15">
        <f>1672</f>
        <v>1672</v>
      </c>
      <c r="G44" s="15">
        <f>1529</f>
        <v>1529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15">
      <c r="A45" s="7" t="s">
        <v>48</v>
      </c>
      <c r="B45" s="15">
        <v>4319</v>
      </c>
      <c r="C45" s="16">
        <v>4.04</v>
      </c>
      <c r="D45" s="15">
        <f>19079</f>
        <v>19079</v>
      </c>
      <c r="E45" s="15"/>
      <c r="F45" s="15">
        <f>1712</f>
        <v>1712</v>
      </c>
      <c r="G45" s="15">
        <f>1582</f>
        <v>1582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15">
      <c r="A46" s="7" t="s">
        <v>49</v>
      </c>
      <c r="B46" s="15">
        <v>4550</v>
      </c>
      <c r="C46" s="16">
        <f>4</f>
        <v>4</v>
      </c>
      <c r="D46" s="15">
        <f>20003</f>
        <v>20003</v>
      </c>
      <c r="E46" s="15"/>
      <c r="F46" s="15">
        <f>1861</f>
        <v>1861</v>
      </c>
      <c r="G46" s="15">
        <f>1706</f>
        <v>1706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15">
      <c r="A47" s="7" t="s">
        <v>50</v>
      </c>
      <c r="B47" s="15">
        <v>4627</v>
      </c>
      <c r="C47" s="16">
        <v>3.91</v>
      </c>
      <c r="D47" s="15">
        <f>20049</f>
        <v>20049</v>
      </c>
      <c r="E47" s="15"/>
      <c r="F47" s="15">
        <f>1892</f>
        <v>1892</v>
      </c>
      <c r="G47" s="15">
        <f>1674</f>
        <v>1674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15">
      <c r="A48" s="7" t="s">
        <v>51</v>
      </c>
      <c r="B48" s="15">
        <v>4841</v>
      </c>
      <c r="C48" s="16">
        <v>3.69</v>
      </c>
      <c r="D48" s="15">
        <f>21783</f>
        <v>21783</v>
      </c>
      <c r="E48" s="15"/>
      <c r="F48" s="15">
        <f>2010</f>
        <v>2010</v>
      </c>
      <c r="G48" s="15">
        <f>1843</f>
        <v>1843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15">
      <c r="A49" s="7" t="s">
        <v>52</v>
      </c>
      <c r="B49" s="15">
        <v>4901</v>
      </c>
      <c r="C49" s="16">
        <v>3.65</v>
      </c>
      <c r="D49" s="15">
        <f>21680</f>
        <v>21680</v>
      </c>
      <c r="E49" s="15"/>
      <c r="F49" s="15">
        <f>2035</f>
        <v>2035</v>
      </c>
      <c r="G49" s="15">
        <f>1853</f>
        <v>1853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15">
      <c r="A50" s="7" t="s">
        <v>53</v>
      </c>
      <c r="B50" s="15">
        <v>4845</v>
      </c>
      <c r="C50" s="16">
        <v>3.74</v>
      </c>
      <c r="D50" s="15">
        <f>21887</f>
        <v>21887</v>
      </c>
      <c r="E50" s="15"/>
      <c r="F50" s="15">
        <f>2014</f>
        <v>2014</v>
      </c>
      <c r="G50" s="15">
        <f>1794</f>
        <v>1794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15">
      <c r="A51" s="7" t="s">
        <v>54</v>
      </c>
      <c r="B51" s="15">
        <v>5000</v>
      </c>
      <c r="C51" s="16">
        <v>3.74</v>
      </c>
      <c r="D51" s="15">
        <f>21935</f>
        <v>21935</v>
      </c>
      <c r="E51" s="15"/>
      <c r="F51" s="15">
        <f>2100</f>
        <v>2100</v>
      </c>
      <c r="G51" s="15">
        <f>1908</f>
        <v>1908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15">
      <c r="A52" s="7" t="s">
        <v>55</v>
      </c>
      <c r="B52" s="15">
        <v>5270</v>
      </c>
      <c r="C52" s="16">
        <v>3.88</v>
      </c>
      <c r="D52" s="15">
        <f>24994</f>
        <v>24994</v>
      </c>
      <c r="E52" s="15"/>
      <c r="F52" s="15" t="s">
        <v>56</v>
      </c>
      <c r="G52" s="15" t="s">
        <v>57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ht="15">
      <c r="A53" s="7" t="s">
        <v>58</v>
      </c>
      <c r="B53" s="15">
        <v>5234</v>
      </c>
      <c r="C53" s="16">
        <v>3.91</v>
      </c>
      <c r="D53" s="15">
        <f>26341</f>
        <v>26341</v>
      </c>
      <c r="E53" s="15"/>
      <c r="F53" s="15" t="s">
        <v>59</v>
      </c>
      <c r="G53" s="15" t="s">
        <v>60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ht="15">
      <c r="A54" s="7" t="s">
        <v>61</v>
      </c>
      <c r="B54" s="15">
        <v>5260</v>
      </c>
      <c r="C54" s="16">
        <v>3.67</v>
      </c>
      <c r="D54" s="15">
        <f>23519</f>
        <v>23519</v>
      </c>
      <c r="E54" s="15"/>
      <c r="F54" s="15" t="s">
        <v>62</v>
      </c>
      <c r="G54" s="15" t="s">
        <v>63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ht="15">
      <c r="A55" s="7" t="s">
        <v>64</v>
      </c>
      <c r="B55" s="15">
        <v>5139</v>
      </c>
      <c r="C55" s="16">
        <v>3.65</v>
      </c>
      <c r="D55" s="15">
        <f>22315</f>
        <v>22315</v>
      </c>
      <c r="E55" s="15"/>
      <c r="F55" s="15" t="s">
        <v>65</v>
      </c>
      <c r="G55" s="15" t="s">
        <v>66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1:255" ht="15">
      <c r="A56" s="7" t="s">
        <v>67</v>
      </c>
      <c r="B56" s="15">
        <v>5540</v>
      </c>
      <c r="C56" s="16">
        <v>3.86</v>
      </c>
      <c r="D56" s="15">
        <f>27065</f>
        <v>27065</v>
      </c>
      <c r="E56" s="15"/>
      <c r="F56" s="15" t="s">
        <v>59</v>
      </c>
      <c r="G56" s="15" t="s">
        <v>68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ht="15">
      <c r="A57" s="7" t="s">
        <v>69</v>
      </c>
      <c r="B57" s="15">
        <v>5401</v>
      </c>
      <c r="C57" s="16">
        <v>3.78</v>
      </c>
      <c r="D57" s="15" t="s">
        <v>70</v>
      </c>
      <c r="E57" s="15"/>
      <c r="F57" s="15" t="s">
        <v>71</v>
      </c>
      <c r="G57" s="15" t="s">
        <v>72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ht="15">
      <c r="A58" s="7" t="s">
        <v>73</v>
      </c>
      <c r="B58" s="15">
        <v>4695</v>
      </c>
      <c r="C58" s="16">
        <v>3.74</v>
      </c>
      <c r="D58" s="15" t="s">
        <v>74</v>
      </c>
      <c r="E58" s="15"/>
      <c r="F58" s="15" t="s">
        <v>75</v>
      </c>
      <c r="G58" s="15">
        <f>1240</f>
        <v>1240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ht="15">
      <c r="A59" s="7" t="s">
        <v>76</v>
      </c>
      <c r="B59" s="15">
        <v>4511</v>
      </c>
      <c r="C59" s="16">
        <f>3.9</f>
        <v>3.9</v>
      </c>
      <c r="D59" s="15" t="s">
        <v>77</v>
      </c>
      <c r="E59" s="15"/>
      <c r="F59" s="15">
        <f>1634</f>
        <v>1634</v>
      </c>
      <c r="G59" s="15">
        <f>1362</f>
        <v>1362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ht="15">
      <c r="A60" s="7" t="s">
        <v>78</v>
      </c>
      <c r="B60" s="15">
        <v>4534</v>
      </c>
      <c r="C60" s="16">
        <v>3.88</v>
      </c>
      <c r="D60" s="15" t="s">
        <v>79</v>
      </c>
      <c r="E60" s="15"/>
      <c r="F60" s="15">
        <f>1636</f>
        <v>1636</v>
      </c>
      <c r="G60" s="15">
        <f>1402</f>
        <v>1402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ht="15">
      <c r="A61" s="7" t="s">
        <v>80</v>
      </c>
      <c r="B61" s="15" t="s">
        <v>15</v>
      </c>
      <c r="C61" s="16" t="s">
        <v>15</v>
      </c>
      <c r="D61" s="15" t="s">
        <v>81</v>
      </c>
      <c r="E61" s="15"/>
      <c r="F61" s="15">
        <f>1535</f>
        <v>1535</v>
      </c>
      <c r="G61" s="15">
        <f>1234</f>
        <v>1234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ht="15">
      <c r="A62" s="7" t="s">
        <v>82</v>
      </c>
      <c r="B62" s="15" t="s">
        <v>15</v>
      </c>
      <c r="C62" s="16" t="s">
        <v>15</v>
      </c>
      <c r="D62" s="15" t="s">
        <v>83</v>
      </c>
      <c r="E62" s="15"/>
      <c r="F62" s="15">
        <f>1463</f>
        <v>1463</v>
      </c>
      <c r="G62" s="15">
        <f>1258</f>
        <v>1258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ht="15">
      <c r="A63" s="7" t="s">
        <v>84</v>
      </c>
      <c r="B63" s="15">
        <v>3812</v>
      </c>
      <c r="C63" s="16">
        <v>4.38</v>
      </c>
      <c r="D63" s="15" t="s">
        <v>85</v>
      </c>
      <c r="E63" s="15"/>
      <c r="F63" s="15">
        <f>1481</f>
        <v>1481</v>
      </c>
      <c r="G63" s="15">
        <f>1316</f>
        <v>1316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ht="15">
      <c r="A64" s="7" t="s">
        <v>86</v>
      </c>
      <c r="B64" s="15">
        <v>4039</v>
      </c>
      <c r="C64" s="16">
        <v>3.98</v>
      </c>
      <c r="D64" s="15" t="s">
        <v>87</v>
      </c>
      <c r="E64" s="15"/>
      <c r="F64" s="15">
        <f>1557</f>
        <v>1557</v>
      </c>
      <c r="G64" s="15">
        <f>1305</f>
        <v>1305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ht="15">
      <c r="A65" s="7" t="s">
        <v>88</v>
      </c>
      <c r="B65" s="15">
        <v>3821</v>
      </c>
      <c r="C65" s="16">
        <v>3.85</v>
      </c>
      <c r="D65" s="15" t="s">
        <v>89</v>
      </c>
      <c r="E65" s="15"/>
      <c r="F65" s="15">
        <f>1469</f>
        <v>1469</v>
      </c>
      <c r="G65" s="15">
        <f>1251</f>
        <v>1251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ht="15">
      <c r="A66" s="7" t="s">
        <v>90</v>
      </c>
      <c r="B66" s="15">
        <v>3662</v>
      </c>
      <c r="C66" s="16">
        <v>4.21</v>
      </c>
      <c r="D66" s="15" t="s">
        <v>91</v>
      </c>
      <c r="E66" s="15"/>
      <c r="F66" s="15">
        <f>1404</f>
        <v>1404</v>
      </c>
      <c r="G66" s="15">
        <f>1298</f>
        <v>1298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ht="15">
      <c r="A67" s="7"/>
      <c r="B67" s="9"/>
      <c r="C67" s="9"/>
      <c r="D67" s="9"/>
      <c r="E67" s="9"/>
      <c r="F67" s="9"/>
      <c r="G67" s="9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ht="15">
      <c r="A68" s="25" t="s">
        <v>92</v>
      </c>
      <c r="B68" s="26"/>
      <c r="C68" s="26"/>
      <c r="D68" s="26"/>
      <c r="E68" s="26"/>
      <c r="F68" s="26"/>
      <c r="G68" s="2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ht="15">
      <c r="A69" s="25" t="s">
        <v>93</v>
      </c>
      <c r="B69" s="26"/>
      <c r="C69" s="26"/>
      <c r="D69" s="26"/>
      <c r="E69" s="26"/>
      <c r="F69" s="26"/>
      <c r="G69" s="2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ht="30" customHeight="1">
      <c r="A70" s="25" t="s">
        <v>94</v>
      </c>
      <c r="B70" s="26"/>
      <c r="C70" s="26"/>
      <c r="D70" s="26"/>
      <c r="E70" s="26"/>
      <c r="F70" s="26"/>
      <c r="G70" s="2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5" ht="15">
      <c r="A71" s="25" t="s">
        <v>95</v>
      </c>
      <c r="B71" s="26"/>
      <c r="C71" s="26"/>
      <c r="D71" s="26"/>
      <c r="E71" s="26"/>
      <c r="F71" s="26"/>
      <c r="G71" s="2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</row>
    <row r="72" spans="1:255" ht="15">
      <c r="A72" s="25" t="s">
        <v>96</v>
      </c>
      <c r="B72" s="26"/>
      <c r="C72" s="26"/>
      <c r="D72" s="26"/>
      <c r="E72" s="26"/>
      <c r="F72" s="26"/>
      <c r="G72" s="2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</row>
    <row r="73" spans="1:256" ht="15">
      <c r="A73" s="24"/>
      <c r="B73" s="19"/>
      <c r="C73" s="19"/>
      <c r="D73" s="19"/>
      <c r="E73" s="19"/>
      <c r="F73" s="19"/>
      <c r="G73" s="1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11"/>
    </row>
    <row r="74" spans="1:255" ht="15.75">
      <c r="A74" s="27" t="s">
        <v>97</v>
      </c>
      <c r="B74" s="28"/>
      <c r="C74" s="28"/>
      <c r="D74" s="28"/>
      <c r="E74" s="28"/>
      <c r="F74" s="28"/>
      <c r="G74" s="28"/>
      <c r="H74" s="17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ht="15">
      <c r="A75" s="3"/>
      <c r="B75" s="8"/>
      <c r="C75" s="8"/>
      <c r="D75" s="17"/>
      <c r="E75" s="17"/>
      <c r="F75" s="17"/>
      <c r="G75" s="17"/>
      <c r="H75" s="17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ht="15">
      <c r="A76" s="18"/>
      <c r="B76" s="17"/>
      <c r="C76" s="17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ht="15">
      <c r="A77" s="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ht="15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ht="15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1:255" ht="15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</sheetData>
  <mergeCells count="8">
    <mergeCell ref="A70:G70"/>
    <mergeCell ref="A71:G71"/>
    <mergeCell ref="A72:G72"/>
    <mergeCell ref="A74:G74"/>
    <mergeCell ref="B5:D5"/>
    <mergeCell ref="F5:G5"/>
    <mergeCell ref="A68:G68"/>
    <mergeCell ref="A69:G69"/>
  </mergeCells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